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ffrey-price\Documents\Classes\UGEquilThermo\"/>
    </mc:Choice>
  </mc:AlternateContent>
  <bookViews>
    <workbookView xWindow="120" yWindow="75" windowWidth="19020" windowHeight="124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5" i="1" l="1"/>
  <c r="E34" i="1"/>
  <c r="B35" i="1"/>
  <c r="D35" i="1" s="1"/>
  <c r="B34" i="1"/>
  <c r="C34" i="1" s="1"/>
  <c r="D34" i="1" l="1"/>
  <c r="B38" i="1" s="1"/>
  <c r="C35" i="1"/>
  <c r="B39" i="1" s="1"/>
  <c r="F9" i="1"/>
  <c r="E9" i="1"/>
  <c r="D9" i="1"/>
  <c r="B9" i="1"/>
  <c r="C9" i="1" l="1"/>
  <c r="E36" i="1" s="1"/>
  <c r="B36" i="1"/>
  <c r="D36" i="1" l="1"/>
  <c r="C36" i="1"/>
  <c r="B40" i="1" l="1"/>
  <c r="B41" i="1" s="1"/>
  <c r="B15" i="1" l="1"/>
  <c r="C15" i="1" s="1"/>
  <c r="B16" i="1"/>
  <c r="C16" i="1" s="1"/>
  <c r="B13" i="1" l="1"/>
  <c r="B22" i="1" s="1"/>
  <c r="E22" i="1" s="1"/>
  <c r="B21" i="1" l="1"/>
  <c r="E21" i="1" s="1"/>
  <c r="B28" i="1" s="1"/>
  <c r="B31" i="1" s="1"/>
  <c r="B43" i="1" s="1"/>
  <c r="B30" i="1" l="1"/>
  <c r="B44" i="1" s="1"/>
</calcChain>
</file>

<file path=xl/sharedStrings.xml><?xml version="1.0" encoding="utf-8"?>
<sst xmlns="http://schemas.openxmlformats.org/spreadsheetml/2006/main" count="57" uniqueCount="50">
  <si>
    <r>
      <t>x</t>
    </r>
    <r>
      <rPr>
        <vertAlign val="subscript"/>
        <sz val="14"/>
        <color theme="1"/>
        <rFont val="Calibri"/>
        <family val="2"/>
        <scheme val="minor"/>
      </rPr>
      <t>1</t>
    </r>
  </si>
  <si>
    <r>
      <t>x</t>
    </r>
    <r>
      <rPr>
        <vertAlign val="subscript"/>
        <sz val="14"/>
        <color theme="1"/>
        <rFont val="Calibri"/>
        <family val="2"/>
        <scheme val="minor"/>
      </rPr>
      <t>2</t>
    </r>
  </si>
  <si>
    <r>
      <rPr>
        <sz val="16"/>
        <rFont val="Times New Roman"/>
        <family val="1"/>
      </rPr>
      <t>ln</t>
    </r>
    <r>
      <rPr>
        <sz val="16"/>
        <rFont val="Symbol"/>
        <family val="1"/>
        <charset val="2"/>
      </rPr>
      <t>(g</t>
    </r>
    <r>
      <rPr>
        <vertAlign val="subscript"/>
        <sz val="16"/>
        <rFont val="Times New Roman"/>
        <family val="1"/>
      </rPr>
      <t>1</t>
    </r>
    <r>
      <rPr>
        <sz val="16"/>
        <rFont val="Times New Roman"/>
        <family val="1"/>
      </rPr>
      <t>)</t>
    </r>
  </si>
  <si>
    <r>
      <rPr>
        <sz val="16"/>
        <rFont val="Times New Roman"/>
        <family val="1"/>
      </rPr>
      <t>ln</t>
    </r>
    <r>
      <rPr>
        <sz val="16"/>
        <rFont val="Symbol"/>
        <family val="1"/>
        <charset val="2"/>
      </rPr>
      <t>(g</t>
    </r>
    <r>
      <rPr>
        <vertAlign val="subscript"/>
        <sz val="16"/>
        <rFont val="Times New Roman"/>
        <family val="1"/>
      </rPr>
      <t>2</t>
    </r>
    <r>
      <rPr>
        <sz val="16"/>
        <rFont val="Times New Roman"/>
        <family val="1"/>
      </rPr>
      <t xml:space="preserve">) </t>
    </r>
  </si>
  <si>
    <t>A</t>
  </si>
  <si>
    <t>B</t>
  </si>
  <si>
    <t>Margules 3-suffix constants</t>
  </si>
  <si>
    <r>
      <t>g</t>
    </r>
    <r>
      <rPr>
        <vertAlign val="subscript"/>
        <sz val="16"/>
        <rFont val="Times New Roman"/>
        <family val="1"/>
      </rPr>
      <t>1</t>
    </r>
  </si>
  <si>
    <r>
      <t>g</t>
    </r>
    <r>
      <rPr>
        <vertAlign val="subscript"/>
        <sz val="16"/>
        <rFont val="Times New Roman"/>
        <family val="1"/>
      </rPr>
      <t>2</t>
    </r>
  </si>
  <si>
    <r>
      <t>y</t>
    </r>
    <r>
      <rPr>
        <vertAlign val="subscript"/>
        <sz val="14"/>
        <color theme="1"/>
        <rFont val="Calibri"/>
        <family val="2"/>
        <scheme val="minor"/>
      </rPr>
      <t>1</t>
    </r>
  </si>
  <si>
    <r>
      <t>y</t>
    </r>
    <r>
      <rPr>
        <vertAlign val="subscript"/>
        <sz val="14"/>
        <color theme="1"/>
        <rFont val="Calibri"/>
        <family val="2"/>
        <scheme val="minor"/>
      </rPr>
      <t>2</t>
    </r>
  </si>
  <si>
    <r>
      <t>f</t>
    </r>
    <r>
      <rPr>
        <vertAlign val="subscript"/>
        <sz val="16"/>
        <rFont val="Times New Roman"/>
        <family val="1"/>
      </rPr>
      <t>1</t>
    </r>
  </si>
  <si>
    <r>
      <t>f</t>
    </r>
    <r>
      <rPr>
        <vertAlign val="subscript"/>
        <sz val="16"/>
        <rFont val="Times New Roman"/>
        <family val="1"/>
      </rPr>
      <t>2</t>
    </r>
    <r>
      <rPr>
        <sz val="16"/>
        <rFont val="Times New Roman"/>
        <family val="1"/>
      </rPr>
      <t xml:space="preserve"> </t>
    </r>
  </si>
  <si>
    <r>
      <rPr>
        <sz val="14"/>
        <color theme="1"/>
        <rFont val="Symbol"/>
        <family val="1"/>
        <charset val="2"/>
      </rPr>
      <t>d</t>
    </r>
    <r>
      <rPr>
        <vertAlign val="subscript"/>
        <sz val="14"/>
        <color theme="1"/>
        <rFont val="Calibri"/>
        <family val="2"/>
        <scheme val="minor"/>
      </rPr>
      <t>12</t>
    </r>
  </si>
  <si>
    <r>
      <t>B</t>
    </r>
    <r>
      <rPr>
        <vertAlign val="subscript"/>
        <sz val="12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/mole)</t>
    </r>
  </si>
  <si>
    <r>
      <t>B</t>
    </r>
    <r>
      <rPr>
        <vertAlign val="subscript"/>
        <sz val="12"/>
        <color theme="1"/>
        <rFont val="Calibri"/>
        <family val="2"/>
        <scheme val="minor"/>
      </rPr>
      <t>22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/mole)</t>
    </r>
  </si>
  <si>
    <r>
      <t>B</t>
    </r>
    <r>
      <rPr>
        <vertAlign val="subscript"/>
        <sz val="12"/>
        <color theme="1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/mole)</t>
    </r>
  </si>
  <si>
    <r>
      <t xml:space="preserve">P =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+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2</t>
    </r>
  </si>
  <si>
    <r>
      <t>y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=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P</t>
    </r>
  </si>
  <si>
    <r>
      <t>y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=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P</t>
    </r>
  </si>
  <si>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= exp ( P /RT * (B</t>
    </r>
    <r>
      <rPr>
        <vertAlign val="subscript"/>
        <sz val="16"/>
        <color theme="1"/>
        <rFont val="Calibri"/>
        <family val="2"/>
        <scheme val="minor"/>
      </rPr>
      <t>11</t>
    </r>
    <r>
      <rPr>
        <sz val="16"/>
        <color theme="1"/>
        <rFont val="Calibri"/>
        <family val="2"/>
        <scheme val="minor"/>
      </rPr>
      <t xml:space="preserve"> + y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</t>
    </r>
    <r>
      <rPr>
        <sz val="16"/>
        <color theme="1"/>
        <rFont val="Symbol"/>
        <family val="1"/>
        <charset val="2"/>
      </rPr>
      <t>d</t>
    </r>
    <r>
      <rPr>
        <vertAlign val="subscript"/>
        <sz val="16"/>
        <color theme="1"/>
        <rFont val="Calibri"/>
        <family val="2"/>
        <scheme val="minor"/>
      </rPr>
      <t>12</t>
    </r>
    <r>
      <rPr>
        <sz val="16"/>
        <color theme="1"/>
        <rFont val="Calibri"/>
        <family val="2"/>
        <scheme val="minor"/>
      </rPr>
      <t>))</t>
    </r>
  </si>
  <si>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= exp ( P /RT * (B</t>
    </r>
    <r>
      <rPr>
        <vertAlign val="subscript"/>
        <sz val="16"/>
        <color theme="1"/>
        <rFont val="Calibri"/>
        <family val="2"/>
        <scheme val="minor"/>
      </rPr>
      <t>22</t>
    </r>
    <r>
      <rPr>
        <sz val="16"/>
        <color theme="1"/>
        <rFont val="Calibri"/>
        <family val="2"/>
        <scheme val="minor"/>
      </rPr>
      <t xml:space="preserve"> + y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</t>
    </r>
    <r>
      <rPr>
        <sz val="16"/>
        <color theme="1"/>
        <rFont val="Symbol"/>
        <family val="1"/>
        <charset val="2"/>
      </rPr>
      <t>d</t>
    </r>
    <r>
      <rPr>
        <vertAlign val="subscript"/>
        <sz val="16"/>
        <color theme="1"/>
        <rFont val="Calibri"/>
        <family val="2"/>
        <scheme val="minor"/>
      </rPr>
      <t>12</t>
    </r>
    <r>
      <rPr>
        <sz val="16"/>
        <color theme="1"/>
        <rFont val="Calibri"/>
        <family val="2"/>
        <scheme val="minor"/>
      </rPr>
      <t>))</t>
    </r>
  </si>
  <si>
    <t>For a 0.25/0.75 mixture of Chloroform(1)/Ethanol(2), find the bubble point at 10 bar</t>
  </si>
  <si>
    <t>1) assume Phi's are 1.0</t>
  </si>
  <si>
    <t>T(K) guess</t>
  </si>
  <si>
    <t>chloroform</t>
  </si>
  <si>
    <t>ethanol</t>
  </si>
  <si>
    <t>Tc (K)</t>
  </si>
  <si>
    <t>Pc (bar)</t>
  </si>
  <si>
    <t>omega</t>
  </si>
  <si>
    <t>C</t>
  </si>
  <si>
    <t>Constants for Antoine</t>
  </si>
  <si>
    <t>in kPa</t>
  </si>
  <si>
    <t>in bar</t>
  </si>
  <si>
    <r>
      <t>P</t>
    </r>
    <r>
      <rPr>
        <vertAlign val="subscript"/>
        <sz val="14"/>
        <color theme="1"/>
        <rFont val="Calibri"/>
        <family val="2"/>
        <scheme val="minor"/>
      </rPr>
      <t>1</t>
    </r>
    <r>
      <rPr>
        <vertAlign val="superscript"/>
        <sz val="14"/>
        <color theme="1"/>
        <rFont val="Calibri"/>
        <family val="2"/>
        <scheme val="minor"/>
      </rPr>
      <t xml:space="preserve">SAT </t>
    </r>
  </si>
  <si>
    <r>
      <t>P</t>
    </r>
    <r>
      <rPr>
        <vertAlign val="subscript"/>
        <sz val="14"/>
        <color theme="1"/>
        <rFont val="Calibri"/>
        <family val="2"/>
        <scheme val="minor"/>
      </rPr>
      <t>2</t>
    </r>
    <r>
      <rPr>
        <vertAlign val="superscript"/>
        <sz val="14"/>
        <color theme="1"/>
        <rFont val="Calibri"/>
        <family val="2"/>
        <scheme val="minor"/>
      </rPr>
      <t xml:space="preserve">SAT </t>
    </r>
  </si>
  <si>
    <t>The liquid phase is modelled well using the Margules 3-suffix equation with A=0.59 and B=1.42</t>
  </si>
  <si>
    <t>P (bar)</t>
  </si>
  <si>
    <t>Vc (cm3/mole)</t>
  </si>
  <si>
    <t>Zc</t>
  </si>
  <si>
    <t>virial coefficients</t>
  </si>
  <si>
    <t>interaction</t>
  </si>
  <si>
    <t>Tr</t>
  </si>
  <si>
    <t>B0</t>
  </si>
  <si>
    <t>B1</t>
  </si>
  <si>
    <t>Pr</t>
  </si>
  <si>
    <t>2) use the generalized virial coefficient to find Phi's and repeat the calculations to get the bubble point</t>
  </si>
  <si>
    <t>P=10 bar for all cases</t>
  </si>
  <si>
    <r>
      <t xml:space="preserve">First Iteration with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>'s =1. After the first iteration, paste the computed Phi's here and iterate again.</t>
    </r>
  </si>
  <si>
    <t>Smith and Van Ness 7th edition equations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</si>
</sst>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8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6"/>
      <name val="Symbol"/>
      <family val="1"/>
      <charset val="2"/>
    </font>
    <font>
      <sz val="16"/>
      <name val="Times New Roman"/>
      <family val="1"/>
    </font>
    <font>
      <vertAlign val="subscript"/>
      <sz val="16"/>
      <name val="Times New Roman"/>
      <family val="1"/>
    </font>
    <font>
      <sz val="11"/>
      <color theme="1"/>
      <name val="Symbol"/>
      <family val="1"/>
      <charset val="2"/>
    </font>
    <font>
      <sz val="14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vertAlign val="sub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8" fontId="0" fillId="0" borderId="0" xfId="0" applyNumberFormat="1"/>
    <xf numFmtId="0" fontId="0" fillId="0" borderId="2" xfId="0" applyBorder="1"/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22</xdr:row>
      <xdr:rowOff>104775</xdr:rowOff>
    </xdr:from>
    <xdr:ext cx="65" cy="172227"/>
    <xdr:sp macro="" textlink="">
      <xdr:nvSpPr>
        <xdr:cNvPr id="3" name="TextBox 2"/>
        <xdr:cNvSpPr txBox="1"/>
      </xdr:nvSpPr>
      <xdr:spPr>
        <a:xfrm>
          <a:off x="5534025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466725</xdr:colOff>
      <xdr:row>0</xdr:row>
      <xdr:rowOff>152400</xdr:rowOff>
    </xdr:from>
    <xdr:to>
      <xdr:col>15</xdr:col>
      <xdr:colOff>408813</xdr:colOff>
      <xdr:row>2</xdr:row>
      <xdr:rowOff>188976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152400"/>
          <a:ext cx="3599688" cy="417576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2</xdr:row>
      <xdr:rowOff>133350</xdr:rowOff>
    </xdr:from>
    <xdr:to>
      <xdr:col>15</xdr:col>
      <xdr:colOff>518922</xdr:colOff>
      <xdr:row>5</xdr:row>
      <xdr:rowOff>11405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514350"/>
          <a:ext cx="3776472" cy="449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zoomScaleNormal="100" workbookViewId="0">
      <selection activeCell="X4" sqref="X4"/>
    </sheetView>
  </sheetViews>
  <sheetFormatPr defaultRowHeight="15" x14ac:dyDescent="0.25"/>
  <cols>
    <col min="1" max="1" width="16" customWidth="1"/>
    <col min="2" max="2" width="12.42578125" customWidth="1"/>
    <col min="3" max="3" width="10.42578125" customWidth="1"/>
    <col min="5" max="5" width="15" customWidth="1"/>
  </cols>
  <sheetData>
    <row r="1" spans="1:21" x14ac:dyDescent="0.25">
      <c r="A1" t="s">
        <v>22</v>
      </c>
    </row>
    <row r="2" spans="1:21" x14ac:dyDescent="0.25">
      <c r="A2" t="s">
        <v>36</v>
      </c>
      <c r="Q2" s="20" t="s">
        <v>49</v>
      </c>
      <c r="R2" s="21"/>
      <c r="S2" s="21"/>
      <c r="T2" s="21"/>
      <c r="U2" s="21"/>
    </row>
    <row r="3" spans="1:21" x14ac:dyDescent="0.25">
      <c r="A3" t="s">
        <v>23</v>
      </c>
      <c r="Q3" s="20"/>
      <c r="R3" s="21"/>
      <c r="S3" s="21"/>
      <c r="T3" s="21"/>
      <c r="U3" s="21"/>
    </row>
    <row r="4" spans="1:21" x14ac:dyDescent="0.25">
      <c r="A4" t="s">
        <v>46</v>
      </c>
      <c r="Q4" s="20"/>
      <c r="R4" s="21"/>
      <c r="S4" s="21"/>
      <c r="T4" s="21"/>
      <c r="U4" s="21"/>
    </row>
    <row r="5" spans="1:21" x14ac:dyDescent="0.25">
      <c r="G5" s="10" t="s">
        <v>31</v>
      </c>
      <c r="H5" s="10"/>
      <c r="I5" s="10"/>
      <c r="Q5" s="20"/>
      <c r="R5" s="21"/>
      <c r="S5" s="21"/>
      <c r="T5" s="21"/>
      <c r="U5" s="21"/>
    </row>
    <row r="6" spans="1:21" x14ac:dyDescent="0.25">
      <c r="B6" t="s">
        <v>27</v>
      </c>
      <c r="C6" t="s">
        <v>28</v>
      </c>
      <c r="D6" t="s">
        <v>29</v>
      </c>
      <c r="E6" t="s">
        <v>38</v>
      </c>
      <c r="F6" t="s">
        <v>39</v>
      </c>
      <c r="G6" s="9" t="s">
        <v>4</v>
      </c>
      <c r="H6" s="9" t="s">
        <v>5</v>
      </c>
      <c r="I6" s="9" t="s">
        <v>30</v>
      </c>
    </row>
    <row r="7" spans="1:21" x14ac:dyDescent="0.25">
      <c r="A7" t="s">
        <v>25</v>
      </c>
      <c r="B7">
        <v>536.4</v>
      </c>
      <c r="C7">
        <v>54.72</v>
      </c>
      <c r="D7">
        <v>0.222</v>
      </c>
      <c r="E7">
        <v>239</v>
      </c>
      <c r="F7">
        <v>0.29299999999999998</v>
      </c>
      <c r="G7">
        <v>13.7324</v>
      </c>
      <c r="H7">
        <v>2548.7399999999998</v>
      </c>
      <c r="I7">
        <v>218.55199999999999</v>
      </c>
    </row>
    <row r="8" spans="1:21" x14ac:dyDescent="0.25">
      <c r="A8" t="s">
        <v>26</v>
      </c>
      <c r="B8">
        <v>513.9</v>
      </c>
      <c r="C8">
        <v>61.48</v>
      </c>
      <c r="D8">
        <v>0.64500000000000002</v>
      </c>
      <c r="E8">
        <v>167</v>
      </c>
      <c r="F8" s="5">
        <v>0.24</v>
      </c>
      <c r="G8">
        <v>16.895800000000001</v>
      </c>
      <c r="H8">
        <v>3795.17</v>
      </c>
      <c r="I8">
        <v>230.91800000000001</v>
      </c>
    </row>
    <row r="9" spans="1:21" x14ac:dyDescent="0.25">
      <c r="A9" s="12" t="s">
        <v>41</v>
      </c>
      <c r="B9" s="13">
        <f>SQRT(B7*B8)</f>
        <v>525.02948488632524</v>
      </c>
      <c r="C9" s="14">
        <f>F9*83.14*B9/E9</f>
        <v>57.920577037735875</v>
      </c>
      <c r="D9" s="15">
        <f>(D7+D8)/2</f>
        <v>0.4335</v>
      </c>
      <c r="E9" s="14">
        <f>((E7^0.33333+E8^0.33333)/2)^3</f>
        <v>200.8436230434163</v>
      </c>
      <c r="F9" s="16">
        <f>(F7+F8)/2</f>
        <v>0.26649999999999996</v>
      </c>
    </row>
    <row r="11" spans="1:21" x14ac:dyDescent="0.25">
      <c r="A11" t="s">
        <v>24</v>
      </c>
      <c r="B11" s="17">
        <v>400</v>
      </c>
    </row>
    <row r="12" spans="1:21" ht="20.25" x14ac:dyDescent="0.35">
      <c r="A12" s="2" t="s">
        <v>0</v>
      </c>
      <c r="B12">
        <v>0.25</v>
      </c>
      <c r="E12" s="1"/>
    </row>
    <row r="13" spans="1:21" ht="20.25" x14ac:dyDescent="0.35">
      <c r="A13" s="2" t="s">
        <v>1</v>
      </c>
      <c r="B13">
        <f>1-B12</f>
        <v>0.75</v>
      </c>
      <c r="E13" s="1"/>
    </row>
    <row r="14" spans="1:21" ht="18.75" x14ac:dyDescent="0.3">
      <c r="A14" s="2"/>
      <c r="B14" t="s">
        <v>32</v>
      </c>
      <c r="C14" t="s">
        <v>33</v>
      </c>
      <c r="E14" s="1"/>
    </row>
    <row r="15" spans="1:21" ht="21.75" x14ac:dyDescent="0.35">
      <c r="A15" s="2" t="s">
        <v>34</v>
      </c>
      <c r="B15" s="11">
        <f>EXP(G7-H7/(B11-273.15+I7))</f>
        <v>574.41149407288799</v>
      </c>
      <c r="C15" s="4">
        <f>B15/100</f>
        <v>5.7441149407288803</v>
      </c>
      <c r="E15" s="1"/>
    </row>
    <row r="16" spans="1:21" ht="21.75" x14ac:dyDescent="0.35">
      <c r="A16" s="2" t="s">
        <v>35</v>
      </c>
      <c r="B16" s="11">
        <f>EXP(G8-H8/(B11-273.15+I8))</f>
        <v>538.01803506180624</v>
      </c>
      <c r="C16" s="4">
        <f>B16/100</f>
        <v>5.3801803506180628</v>
      </c>
      <c r="E16" s="2"/>
    </row>
    <row r="17" spans="1:9" ht="18.75" x14ac:dyDescent="0.3">
      <c r="A17" s="2"/>
    </row>
    <row r="18" spans="1:9" ht="18.75" x14ac:dyDescent="0.3">
      <c r="A18" s="2" t="s">
        <v>4</v>
      </c>
      <c r="B18">
        <v>0.59</v>
      </c>
      <c r="C18" s="8" t="s">
        <v>6</v>
      </c>
      <c r="D18" s="8"/>
      <c r="E18" s="8"/>
    </row>
    <row r="19" spans="1:9" ht="18.75" x14ac:dyDescent="0.3">
      <c r="A19" s="2" t="s">
        <v>5</v>
      </c>
      <c r="B19">
        <v>1.42</v>
      </c>
      <c r="C19" s="8"/>
      <c r="D19" s="8"/>
      <c r="E19" s="8"/>
    </row>
    <row r="21" spans="1:9" ht="23.25" x14ac:dyDescent="0.4">
      <c r="A21" s="3" t="s">
        <v>2</v>
      </c>
      <c r="B21" s="4">
        <f>((B18+2*(B19-B18)*B12)*B13^2)</f>
        <v>0.56531249999999988</v>
      </c>
      <c r="D21" s="3" t="s">
        <v>7</v>
      </c>
      <c r="E21" s="4">
        <f>EXP(B21)</f>
        <v>1.7599976960734014</v>
      </c>
    </row>
    <row r="22" spans="1:9" ht="23.25" x14ac:dyDescent="0.4">
      <c r="A22" s="3" t="s">
        <v>3</v>
      </c>
      <c r="B22" s="4">
        <f>((B19+2*(B18-B19)*B13)*B12^2)</f>
        <v>1.0937500000000003E-2</v>
      </c>
      <c r="D22" s="3" t="s">
        <v>8</v>
      </c>
      <c r="E22" s="4">
        <f>EXP(B22)</f>
        <v>1.0109975331242536</v>
      </c>
    </row>
    <row r="23" spans="1:9" ht="21.75" x14ac:dyDescent="0.35">
      <c r="A23" s="3"/>
      <c r="D23" s="3"/>
    </row>
    <row r="24" spans="1:9" x14ac:dyDescent="0.25">
      <c r="A24" t="s">
        <v>48</v>
      </c>
    </row>
    <row r="25" spans="1:9" ht="23.25" x14ac:dyDescent="0.4">
      <c r="A25" s="3" t="s">
        <v>11</v>
      </c>
      <c r="B25" s="4">
        <v>1</v>
      </c>
    </row>
    <row r="26" spans="1:9" ht="23.25" x14ac:dyDescent="0.4">
      <c r="A26" s="3" t="s">
        <v>12</v>
      </c>
      <c r="B26" s="4">
        <v>1</v>
      </c>
    </row>
    <row r="28" spans="1:9" ht="24.75" x14ac:dyDescent="0.45">
      <c r="A28" t="s">
        <v>37</v>
      </c>
      <c r="B28" s="5">
        <f>E21*B12*C15/B25+E22*B13*C16/B26</f>
        <v>6.6069190620947404</v>
      </c>
      <c r="D28" s="7" t="s">
        <v>17</v>
      </c>
      <c r="E28" s="7"/>
      <c r="F28" s="7"/>
      <c r="G28" s="7"/>
      <c r="H28" s="7"/>
      <c r="I28" s="7"/>
    </row>
    <row r="29" spans="1:9" x14ac:dyDescent="0.25">
      <c r="B29" s="5"/>
    </row>
    <row r="30" spans="1:9" ht="24.75" x14ac:dyDescent="0.45">
      <c r="A30" s="2" t="s">
        <v>9</v>
      </c>
      <c r="B30" s="5">
        <f>B12*E21*C15/(B28*B25)</f>
        <v>0.38253946229130698</v>
      </c>
      <c r="D30" s="7" t="s">
        <v>18</v>
      </c>
      <c r="E30" s="7"/>
      <c r="F30" s="7"/>
      <c r="G30" s="7"/>
      <c r="H30" s="7"/>
      <c r="I30" s="7"/>
    </row>
    <row r="31" spans="1:9" ht="24.75" x14ac:dyDescent="0.45">
      <c r="A31" s="2" t="s">
        <v>10</v>
      </c>
      <c r="B31" s="5">
        <f>B13*E22*C16/(B28*B26)</f>
        <v>0.61746053770869302</v>
      </c>
      <c r="D31" s="7" t="s">
        <v>19</v>
      </c>
      <c r="E31" s="7"/>
      <c r="F31" s="7"/>
      <c r="G31" s="7"/>
      <c r="H31" s="7"/>
      <c r="I31" s="7"/>
    </row>
    <row r="32" spans="1:9" ht="21" x14ac:dyDescent="0.35">
      <c r="A32" s="2"/>
      <c r="B32" s="5"/>
      <c r="D32" s="6"/>
      <c r="E32" s="6"/>
      <c r="F32" s="6"/>
      <c r="G32" s="6"/>
      <c r="H32" s="6"/>
      <c r="I32" s="6"/>
    </row>
    <row r="33" spans="1:15" ht="21" x14ac:dyDescent="0.35">
      <c r="B33" s="12" t="s">
        <v>42</v>
      </c>
      <c r="C33" s="12" t="s">
        <v>43</v>
      </c>
      <c r="D33" s="12" t="s">
        <v>44</v>
      </c>
      <c r="E33" s="12" t="s">
        <v>45</v>
      </c>
      <c r="F33" s="6"/>
      <c r="G33" s="6"/>
      <c r="H33" s="6"/>
      <c r="I33" s="6"/>
    </row>
    <row r="34" spans="1:15" ht="21" x14ac:dyDescent="0.35">
      <c r="A34" s="12" t="s">
        <v>25</v>
      </c>
      <c r="B34" s="5">
        <f>B11/B7</f>
        <v>0.74571215510812827</v>
      </c>
      <c r="C34" s="4">
        <f>0.083-0.422/B34^1.6</f>
        <v>-0.59183639310962599</v>
      </c>
      <c r="D34" s="4">
        <f t="shared" ref="D34:D36" si="0">0.139-0.172/B34^4.2</f>
        <v>-0.45083333554763771</v>
      </c>
      <c r="E34" s="5">
        <f>10/C7</f>
        <v>0.18274853801169591</v>
      </c>
      <c r="F34" s="6"/>
      <c r="G34" s="18"/>
      <c r="H34" s="6"/>
      <c r="I34" s="6"/>
    </row>
    <row r="35" spans="1:15" ht="21" x14ac:dyDescent="0.35">
      <c r="A35" s="12" t="s">
        <v>26</v>
      </c>
      <c r="B35" s="5">
        <f>B11/B8</f>
        <v>0.77836154893948239</v>
      </c>
      <c r="C35" s="4">
        <f t="shared" ref="C35:C36" si="1">0.083-0.422/B35^1.6</f>
        <v>-0.54711853284451983</v>
      </c>
      <c r="D35" s="4">
        <f t="shared" si="0"/>
        <v>-0.35368197943407464</v>
      </c>
      <c r="E35" s="5">
        <f>10/C8</f>
        <v>0.16265452179570594</v>
      </c>
      <c r="F35" s="6"/>
      <c r="G35" s="19" t="s">
        <v>47</v>
      </c>
      <c r="H35" s="6"/>
      <c r="I35" s="6"/>
    </row>
    <row r="36" spans="1:15" ht="21" x14ac:dyDescent="0.35">
      <c r="A36" s="12" t="s">
        <v>41</v>
      </c>
      <c r="B36" s="5">
        <f>B11/B9</f>
        <v>0.76186197445007209</v>
      </c>
      <c r="C36" s="4">
        <f t="shared" si="1"/>
        <v>-0.56909425540816183</v>
      </c>
      <c r="D36" s="4">
        <f t="shared" si="0"/>
        <v>-0.40007351566721672</v>
      </c>
      <c r="E36" s="5">
        <f>10/C9</f>
        <v>0.17265021364488295</v>
      </c>
      <c r="F36" s="6"/>
      <c r="G36" s="19"/>
      <c r="H36" s="6"/>
      <c r="I36" s="6"/>
    </row>
    <row r="37" spans="1:15" ht="21" x14ac:dyDescent="0.35">
      <c r="A37" t="s">
        <v>40</v>
      </c>
      <c r="B37" s="5"/>
      <c r="D37" s="6"/>
      <c r="E37" s="6"/>
      <c r="F37" s="6"/>
      <c r="G37" s="6"/>
      <c r="H37" s="6"/>
      <c r="I37" s="6"/>
    </row>
    <row r="38" spans="1:15" ht="19.5" x14ac:dyDescent="0.35">
      <c r="A38" s="1" t="s">
        <v>14</v>
      </c>
      <c r="B38" s="11">
        <f>83.14*B7/C7*(C34+D7*D34)</f>
        <v>-563.90956282477498</v>
      </c>
      <c r="D38" s="12"/>
      <c r="E38" s="12"/>
      <c r="F38" s="12"/>
      <c r="G38" s="12"/>
      <c r="H38" s="12"/>
      <c r="I38" s="12"/>
    </row>
    <row r="39" spans="1:15" ht="19.5" x14ac:dyDescent="0.35">
      <c r="A39" s="1" t="s">
        <v>15</v>
      </c>
      <c r="B39" s="11">
        <f>83.14*B8/C8*(C35+D8*D35)</f>
        <v>-538.75692064942484</v>
      </c>
      <c r="E39" s="12"/>
      <c r="F39" s="12"/>
      <c r="G39" s="12"/>
      <c r="H39" s="12"/>
      <c r="I39" s="12"/>
    </row>
    <row r="40" spans="1:15" ht="19.5" x14ac:dyDescent="0.35">
      <c r="A40" s="1" t="s">
        <v>16</v>
      </c>
      <c r="B40" s="11">
        <f>83.14*B9/C9*(C36+D9*D36)</f>
        <v>-559.59338476136816</v>
      </c>
      <c r="D40" s="12"/>
      <c r="E40" s="5"/>
      <c r="F40" s="4"/>
      <c r="G40" s="4"/>
      <c r="H40" s="5"/>
      <c r="I40" s="12"/>
    </row>
    <row r="41" spans="1:15" ht="20.25" x14ac:dyDescent="0.35">
      <c r="A41" s="2" t="s">
        <v>13</v>
      </c>
      <c r="B41" s="11">
        <f>2*B40-B38-B39</f>
        <v>-16.520286048536491</v>
      </c>
      <c r="D41" s="12"/>
      <c r="E41" s="5"/>
      <c r="F41" s="4"/>
      <c r="G41" s="4"/>
      <c r="H41" s="5"/>
      <c r="I41" s="12"/>
    </row>
    <row r="42" spans="1:15" x14ac:dyDescent="0.25">
      <c r="B42" s="5"/>
    </row>
    <row r="43" spans="1:15" ht="24.75" x14ac:dyDescent="0.45">
      <c r="A43" s="3" t="s">
        <v>11</v>
      </c>
      <c r="B43" s="4">
        <f>EXP(10/83.14/B11*(B38+B31^2*B41))</f>
        <v>0.84243379497129678</v>
      </c>
      <c r="D43" s="7" t="s">
        <v>20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24.75" x14ac:dyDescent="0.45">
      <c r="A44" s="3" t="s">
        <v>12</v>
      </c>
      <c r="B44" s="4">
        <f>EXP(10/83.14/B11*(B39+B30^2*B41))</f>
        <v>0.84982072335931258</v>
      </c>
      <c r="D44" s="7" t="s">
        <v>21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</sheetData>
  <mergeCells count="10">
    <mergeCell ref="J43:O43"/>
    <mergeCell ref="J44:O44"/>
    <mergeCell ref="G5:I5"/>
    <mergeCell ref="Q2:U5"/>
    <mergeCell ref="D44:I44"/>
    <mergeCell ref="C18:E19"/>
    <mergeCell ref="D28:I28"/>
    <mergeCell ref="D30:I30"/>
    <mergeCell ref="D31:I31"/>
    <mergeCell ref="D43:I4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Price, Geoffrey</cp:lastModifiedBy>
  <dcterms:created xsi:type="dcterms:W3CDTF">2013-11-22T14:38:09Z</dcterms:created>
  <dcterms:modified xsi:type="dcterms:W3CDTF">2018-11-27T14:54:29Z</dcterms:modified>
</cp:coreProperties>
</file>